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missas" sheetId="1" state="visible" r:id="rId3"/>
    <sheet name="Composição por Posto" sheetId="2" state="visible" r:id="rId4"/>
    <sheet name="Quadro Econômico" sheetId="3" state="visible" r:id="rId5"/>
    <sheet name="Sensibilidade Tributária" sheetId="4" state="visible" r:id="rId6"/>
    <sheet name="Triênio" sheetId="5" state="visible" r:id="rId7"/>
    <sheet name="Pontuação Econômica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<sst xmlns="http://schemas.openxmlformats.org/spreadsheetml/2006/main" count="147" uniqueCount="144">
  <si>
    <t xml:space="preserve">PLANILHA DE VALORES DE REFERÊNCIA — ACORDO-QUADRO DE DIGITAÇÃO</t>
  </si>
  <si>
    <t xml:space="preserve">Consulado Geral da Itália no Rio de Janeiro · Edital 1/2026 — CIG BD3F99D83B · Anexo 9 · D.Lgs. 36/2023, art. 41, comma 14</t>
  </si>
  <si>
    <t xml:space="preserve">PREMISSAS DE REFERÊNCIA (células azuis = editáveis pelo proponente; demais valores fixados no Edital)</t>
  </si>
  <si>
    <t xml:space="preserve">Composição e jornada</t>
  </si>
  <si>
    <t xml:space="preserve">Nº de digitadores no Rio de Janeiro</t>
  </si>
  <si>
    <t xml:space="preserve">1 líder + 9 digitadores no RJ — fixado no Edital (item 6.3.1)</t>
  </si>
  <si>
    <t xml:space="preserve">Nº de digitadores em Vitória/ES</t>
  </si>
  <si>
    <t xml:space="preserve">posto avançado em Vitória/ES — fixado no Edital (item 6.3.1)</t>
  </si>
  <si>
    <t xml:space="preserve">Nº de caposquadra / líder (RJ)</t>
  </si>
  <si>
    <t xml:space="preserve">11 postos no total — fixado no Edital (item 6.3.1)</t>
  </si>
  <si>
    <t xml:space="preserve">Jornada semanal (h)</t>
  </si>
  <si>
    <t xml:space="preserve">6 h/dia, de segunda a sexta-feira — item 1.3 do Edital</t>
  </si>
  <si>
    <t xml:space="preserve">Vigência do acordo-quadro: 01/12/2026 a 30/11/2029</t>
  </si>
  <si>
    <t xml:space="preserve">item 1.1 do Edital</t>
  </si>
  <si>
    <t xml:space="preserve">Duração do acordo-quadro (anos)</t>
  </si>
  <si>
    <t xml:space="preserve">item 1.1 do Edital; art. 59 do D.Lgs. 36/2023</t>
  </si>
  <si>
    <t xml:space="preserve">Revisão de preços projetada (% a.a. — hipótese)</t>
  </si>
  <si>
    <t xml:space="preserve">hipótese para o valor máximo; mecanismo no item 13 do Edital</t>
  </si>
  <si>
    <t xml:space="preserve">Salários (R$/mês)</t>
  </si>
  <si>
    <t xml:space="preserve">Salário digitador RJ (referência)</t>
  </si>
  <si>
    <t xml:space="preserve">mínimo de referência — item 6.3.2 do Edital e Anexo 2</t>
  </si>
  <si>
    <t xml:space="preserve">Salário líder / caposquadra</t>
  </si>
  <si>
    <t xml:space="preserve">Salário digitador Vitória/ES</t>
  </si>
  <si>
    <t xml:space="preserve">mínimo de referência, ou piso da CCT do ES se superior</t>
  </si>
  <si>
    <t xml:space="preserve">Encargos e provisionamentos</t>
  </si>
  <si>
    <t xml:space="preserve">Encargos sociais + provisões (% s/ salário)</t>
  </si>
  <si>
    <t xml:space="preserve">Grupo A 36,8% + 13º/férias/1-3 + incid. + rescisório</t>
  </si>
  <si>
    <t xml:space="preserve">Benefícios (R$/mês por posto)</t>
  </si>
  <si>
    <t xml:space="preserve">Vale-transporte bruto (RJ)</t>
  </si>
  <si>
    <t xml:space="preserve">desconto legal de 6% do salário</t>
  </si>
  <si>
    <t xml:space="preserve">Vale-transporte bruto (Vitória)</t>
  </si>
  <si>
    <t xml:space="preserve">referência; conforme deslocamento local</t>
  </si>
  <si>
    <t xml:space="preserve">Desconto de VT (% do salário)</t>
  </si>
  <si>
    <t xml:space="preserve">art. 4º Lei 7.418/1985</t>
  </si>
  <si>
    <t xml:space="preserve">Vale-refeição/alimentação (líquido)</t>
  </si>
  <si>
    <t xml:space="preserve">líquido de coparticipação</t>
  </si>
  <si>
    <t xml:space="preserve">Plano de saúde (100% Operador)</t>
  </si>
  <si>
    <t xml:space="preserve">operadora ANS; ambulatorial+hospitalar</t>
  </si>
  <si>
    <t xml:space="preserve">Assistência odontológica</t>
  </si>
  <si>
    <t xml:space="preserve">benefício mínimo</t>
  </si>
  <si>
    <t xml:space="preserve">Reserva técnica e demais custos</t>
  </si>
  <si>
    <t xml:space="preserve">Reserva técnica/cobertura (% s/ sal.+enc.)</t>
  </si>
  <si>
    <t xml:space="preserve">faltas, férias, substituições</t>
  </si>
  <si>
    <t xml:space="preserve">Insumos/indiretos totais (% s/ custo pessoal)</t>
  </si>
  <si>
    <t xml:space="preserve">dos quais 0,3% = segurança/EPI</t>
  </si>
  <si>
    <t xml:space="preserve">Parcela de segurança/EPI (% s/ custo pessoal)</t>
  </si>
  <si>
    <t xml:space="preserve">não descontável — art. 41 c.14</t>
  </si>
  <si>
    <t xml:space="preserve">Despesas administrativas (%)</t>
  </si>
  <si>
    <t xml:space="preserve">s/ subtotal operacional</t>
  </si>
  <si>
    <t xml:space="preserve">Lucro (%)</t>
  </si>
  <si>
    <t xml:space="preserve">Tributos sobre o faturamento (por dentro)</t>
  </si>
  <si>
    <t xml:space="preserve">Tributos — Lucro Presumido (%) (referência)</t>
  </si>
  <si>
    <t xml:space="preserve">ISS 5 + PIS 0,65 + COFINS 3 + IRPJ 4,8 + CSLL 2,88</t>
  </si>
  <si>
    <t xml:space="preserve">Tributos — Simples Nacional Anexo IV (%)</t>
  </si>
  <si>
    <t xml:space="preserve">referência; alíquota efetiva conforme faixa de RBT12</t>
  </si>
  <si>
    <t xml:space="preserve">Tributos — Lucro Real (%)</t>
  </si>
  <si>
    <t xml:space="preserve">referência; PIS/COFINS não cumulativos + ISS + IRPJ/CSLL</t>
  </si>
  <si>
    <t xml:space="preserve">Nota: composição de referência em Lucro Presumido, CLT integral, sem desoneração. O proponente indica a convenção coletiva aplicável (RJ e ES) e a alíquota efetiva de tributos (itens 3.4 e 6.3.2 do Edital). Salários não inferiores aos de referência nem ao piso da convenção aplicável.</t>
  </si>
  <si>
    <t xml:space="preserve">COMPOSIÇÃO MENSAL DO CUSTO POR POSTO</t>
  </si>
  <si>
    <t xml:space="preserve">Todos os valores derivam da aba Premissas. Colunas por perfil.</t>
  </si>
  <si>
    <t xml:space="preserve">Componente (R$/mês)</t>
  </si>
  <si>
    <t xml:space="preserve">Digitador RJ</t>
  </si>
  <si>
    <t xml:space="preserve">Digitador Vitória</t>
  </si>
  <si>
    <t xml:space="preserve">Líder / Caposquadra</t>
  </si>
  <si>
    <t xml:space="preserve">1. Salário base</t>
  </si>
  <si>
    <t xml:space="preserve">2. Encargos sociais + provisões</t>
  </si>
  <si>
    <t xml:space="preserve">3. Custo trabalhista (1+2)</t>
  </si>
  <si>
    <t xml:space="preserve">4. Vale-transporte (líquido)</t>
  </si>
  <si>
    <t xml:space="preserve">5. Vale-refeição/alimentação</t>
  </si>
  <si>
    <t xml:space="preserve">6. Plano de saúde</t>
  </si>
  <si>
    <t xml:space="preserve">7. Assistência odontológica</t>
  </si>
  <si>
    <t xml:space="preserve">8. Benefícios (4+5+6+7)</t>
  </si>
  <si>
    <t xml:space="preserve">9. Custo pessoal (3+8)</t>
  </si>
  <si>
    <t xml:space="preserve">10. Reserva técnica/cobertura</t>
  </si>
  <si>
    <t xml:space="preserve">11. Segurança/EPI</t>
  </si>
  <si>
    <t xml:space="preserve">12. Insumos/indiretos (líq. segurança)</t>
  </si>
  <si>
    <t xml:space="preserve">13. Subtotal operacional (9+10+11+12)</t>
  </si>
  <si>
    <t xml:space="preserve">14. Despesas administrativas</t>
  </si>
  <si>
    <t xml:space="preserve">15. Lucro</t>
  </si>
  <si>
    <t xml:space="preserve">16. Custo antes de tributos (13+14+15)</t>
  </si>
  <si>
    <t xml:space="preserve">17. Tributos s/ faturamento (Presumido)</t>
  </si>
  <si>
    <t xml:space="preserve">18. PREÇO MENSAL POR POSTO (16+17)</t>
  </si>
  <si>
    <t xml:space="preserve">Perfis: 'Digitador RJ' aplica-se aos 9 postos do Rio de Janeiro; 'Digitador Vitória' ao posto de Vitória/ES; 'Líder' ao caposquadra. O atendimento telefônico é atividade acessória em rodízio (sem custo próprio de posto).</t>
  </si>
  <si>
    <t xml:space="preserve">QUADRO ECONÔMICO — VALOR MENSAL, ANUAL E SCORPORO</t>
  </si>
  <si>
    <t xml:space="preserve">Consolida os 11 postos e separa a parcela não descontável (art. 41, comma 14; itens 1.8 e 6.3.1 do Edital).</t>
  </si>
  <si>
    <t xml:space="preserve">Perfil</t>
  </si>
  <si>
    <t xml:space="preserve">Postos</t>
  </si>
  <si>
    <t xml:space="preserve">Preço/posto (mês)</t>
  </si>
  <si>
    <t xml:space="preserve">Total mês</t>
  </si>
  <si>
    <t xml:space="preserve">Total ano</t>
  </si>
  <si>
    <t xml:space="preserve">Digitador — Rio de Janeiro</t>
  </si>
  <si>
    <t xml:space="preserve">Digitador — Vitória/ES</t>
  </si>
  <si>
    <t xml:space="preserve">Líder / Caposquadra — RJ</t>
  </si>
  <si>
    <t xml:space="preserve">VALOR MÁXIMO (BASE D'ASTA) — MENSAL / ANUAL</t>
  </si>
  <si>
    <t xml:space="preserve">Folha salarial bruta (mês)</t>
  </si>
  <si>
    <t xml:space="preserve">SCORPORO DO CUSTO DA MÃO DE OBRA — art. 41, c. 14</t>
  </si>
  <si>
    <t xml:space="preserve">Parcela</t>
  </si>
  <si>
    <t xml:space="preserve">% do total</t>
  </si>
  <si>
    <t xml:space="preserve">a) Mão de obra (trab.+benef.+reserva) — NÃO descontável</t>
  </si>
  <si>
    <t xml:space="preserve">b) Segurança/EPI — NÃO descontável</t>
  </si>
  <si>
    <t xml:space="preserve">c) SUBTOTAL NÃO DESCONTÁVEL (a+b)</t>
  </si>
  <si>
    <t xml:space="preserve">d) Tributos sobre o faturamento</t>
  </si>
  <si>
    <t xml:space="preserve">e) PARCELA LIVREMENTE DESCONTÁVEL (total − c − d)</t>
  </si>
  <si>
    <t xml:space="preserve">O desconto da oferta incide exclusivamente sobre a parcela 'e'. A parcela 'c' é indisponível (art. 41, comma 14). O percentual de 'e' é o gatilho objetivo de anomalia (itens 1.8, 4.5 e 4.10 do Edital).</t>
  </si>
  <si>
    <t xml:space="preserve">SENSIBILIDADE TRIBUTÁRIA (11 postos)</t>
  </si>
  <si>
    <t xml:space="preserve">Preço mensal conforme a alíquota efetiva do proponente. Referência = Lucro Presumido. Informativo: o Edital não exige a indicação do regime (item 6.3.2, f).</t>
  </si>
  <si>
    <t xml:space="preserve">Regime</t>
  </si>
  <si>
    <t xml:space="preserve">Alíquota efetiva</t>
  </si>
  <si>
    <t xml:space="preserve">Preço mensal</t>
  </si>
  <si>
    <t xml:space="preserve">Preço anual</t>
  </si>
  <si>
    <t xml:space="preserve">Simples Nacional — Anexo IV</t>
  </si>
  <si>
    <t xml:space="preserve">Lucro Presumido (referência)</t>
  </si>
  <si>
    <t xml:space="preserve">Lucro Real</t>
  </si>
  <si>
    <t xml:space="preserve">No Simples Anexo IV a CPP (INSS patronal 20%) é recolhida à parte e já consta dos encargos; a alíquota da faixa deve ser confirmada pela RBT12 do contratado.</t>
  </si>
  <si>
    <t xml:space="preserve">VALOR DO ACORDO-QUADRO — TRIÊNIO</t>
  </si>
  <si>
    <t xml:space="preserve">Base d'asta anual projetada por 3 anos, sem e com revisão de preços (hipótese de 5% a.a.).</t>
  </si>
  <si>
    <t xml:space="preserve">Ano</t>
  </si>
  <si>
    <t xml:space="preserve">Sem revisão</t>
  </si>
  <si>
    <t xml:space="preserve">Com revisão</t>
  </si>
  <si>
    <t xml:space="preserve">Fator revisão</t>
  </si>
  <si>
    <t xml:space="preserve">Ano 1</t>
  </si>
  <si>
    <t xml:space="preserve">Ano 2</t>
  </si>
  <si>
    <t xml:space="preserve">Ano 3</t>
  </si>
  <si>
    <t xml:space="preserve">TOTAL DO TRIÊNIO</t>
  </si>
  <si>
    <t xml:space="preserve">Valor máximo do acordo-quadro (item 1.7 do Edital)</t>
  </si>
  <si>
    <t xml:space="preserve">Valor bruto de tributos, incluída a revisão de preços. O valor do triênio com revisão (D9) é contido no valor máximo fixado no item 1.7 do Edital.</t>
  </si>
  <si>
    <t xml:space="preserve">MODELO DE PONTUAÇÃO ECONÔMICA (PROPORCIONAL)</t>
  </si>
  <si>
    <t xml:space="preserve">Desconto apenas sobre a parcela descontável. Pontuação linear proporcional (item 4.5 do Edital). Gatilho de anomalia = % descontável (item 4.10).</t>
  </si>
  <si>
    <t xml:space="preserve">Parâmetros</t>
  </si>
  <si>
    <t xml:space="preserve">Peso do preço (pontos)</t>
  </si>
  <si>
    <t xml:space="preserve">Valor máximo mensal (base d'asta)</t>
  </si>
  <si>
    <t xml:space="preserve">Parcela descontável (% da base)</t>
  </si>
  <si>
    <t xml:space="preserve">Valor máximo descontável (R$/mês)</t>
  </si>
  <si>
    <t xml:space="preserve">Limite de anomalia (ribasso máx. admissível s/ justificativa)</t>
  </si>
  <si>
    <t xml:space="preserve">Exemplo ilustrativo de julgamento (valores hipotéticos — preencher células azuis)</t>
  </si>
  <si>
    <t xml:space="preserve">Proponente</t>
  </si>
  <si>
    <t xml:space="preserve">Preço mensal ofertado</t>
  </si>
  <si>
    <t xml:space="preserve">Ribasso (%)</t>
  </si>
  <si>
    <t xml:space="preserve">Ribasso admissível?</t>
  </si>
  <si>
    <t xml:space="preserve">Pontos de preço</t>
  </si>
  <si>
    <t xml:space="preserve">Proponente A (exemplo)</t>
  </si>
  <si>
    <t xml:space="preserve">Proponente B (exemplo)</t>
  </si>
  <si>
    <t xml:space="preserve">Proponente C (ao preço base)</t>
  </si>
  <si>
    <t xml:space="preserve">Fórmula (item 4.5 do Edital): pontos = 30 × MIN(desconto; limite) ÷ MIN(maior desconto válido; limite), sendo desconto = (valor máximo − preço ofertado) ÷ valor máximo. Proposta acima do valor máximo é desclassificada; desconto acima do limite presume anomalia (item 4.10; art. 110 do D.Lgs. 36/2023).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</si>
</sst>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.00%"/>
    <numFmt numFmtId="167" formatCode="&quot;R$ &quot;#,##0.00"/>
    <numFmt numFmtId="168" formatCode="#,##0.00"/>
    <numFmt numFmtId="169" formatCode="General"/>
    <numFmt numFmtId="170" formatCode="0.0000"/>
    <numFmt numFmtId="171" formatCode="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52"/>
    <col collapsed="false" customWidth="true" hidden="false" outlineLevel="0" max="3" min="3" style="1" width="16"/>
    <col collapsed="false" customWidth="true" hidden="false" outlineLevel="0" max="4" min="4" style="1" width="44"/>
  </cols>
  <sheetData>
    <row r="1" customFormat="false" ht="16.5" hidden="false" customHeight="true" outlineLevel="0" collapsed="false">
      <c r="B1" s="2" t="s">
        <v>0</v>
      </c>
    </row>
    <row r="2" customFormat="false" ht="15" hidden="false" customHeight="true" outlineLevel="0" collapsed="false">
      <c r="B2" s="3" t="s">
        <v>1</v>
      </c>
    </row>
    <row r="4" customFormat="false" ht="15" hidden="false" customHeight="true" outlineLevel="0" collapsed="false">
      <c r="B4" s="4" t="s">
        <v>2</v>
      </c>
      <c r="C4" s="5"/>
      <c r="D4" s="5"/>
    </row>
    <row r="5" customFormat="false" ht="15" hidden="false" customHeight="true" outlineLevel="0" collapsed="false">
      <c r="B5" s="4" t="s">
        <v>3</v>
      </c>
      <c r="C5" s="5"/>
      <c r="D5" s="5"/>
    </row>
    <row r="6" customFormat="false" ht="21.75" hidden="false" customHeight="true" outlineLevel="0" collapsed="false">
      <c r="B6" s="6" t="s">
        <v>4</v>
      </c>
      <c r="C6" s="7" t="n">
        <v>9</v>
      </c>
      <c r="D6" s="8" t="s">
        <v>5</v>
      </c>
    </row>
    <row r="7" customFormat="false" ht="21.75" hidden="false" customHeight="true" outlineLevel="0" collapsed="false">
      <c r="B7" s="6" t="s">
        <v>6</v>
      </c>
      <c r="C7" s="7" t="n">
        <v>1</v>
      </c>
      <c r="D7" s="8" t="s">
        <v>7</v>
      </c>
    </row>
    <row r="8" customFormat="false" ht="15" hidden="false" customHeight="true" outlineLevel="0" collapsed="false">
      <c r="B8" s="6" t="s">
        <v>8</v>
      </c>
      <c r="C8" s="7" t="n">
        <v>1</v>
      </c>
      <c r="D8" s="8" t="s">
        <v>9</v>
      </c>
    </row>
    <row r="9" customFormat="false" ht="15" hidden="false" customHeight="true" outlineLevel="0" collapsed="false">
      <c r="B9" s="6" t="s">
        <v>10</v>
      </c>
      <c r="C9" s="7" t="n">
        <v>30</v>
      </c>
      <c r="D9" s="8" t="s">
        <v>11</v>
      </c>
    </row>
    <row r="10" customFormat="false" ht="15" hidden="false" customHeight="true" outlineLevel="0" collapsed="false">
      <c r="B10" s="6" t="s">
        <v>12</v>
      </c>
      <c r="C10" s="7"/>
      <c r="D10" s="8" t="s">
        <v>13</v>
      </c>
    </row>
    <row r="11" customFormat="false" ht="15" hidden="false" customHeight="true" outlineLevel="0" collapsed="false">
      <c r="B11" s="6" t="s">
        <v>14</v>
      </c>
      <c r="C11" s="7" t="n">
        <v>3</v>
      </c>
      <c r="D11" s="8" t="s">
        <v>15</v>
      </c>
    </row>
    <row r="12" customFormat="false" ht="21.75" hidden="false" customHeight="true" outlineLevel="0" collapsed="false">
      <c r="B12" s="6" t="s">
        <v>16</v>
      </c>
      <c r="C12" s="9" t="n">
        <v>0.05</v>
      </c>
      <c r="D12" s="8" t="s">
        <v>17</v>
      </c>
    </row>
    <row r="13" customFormat="false" ht="15" hidden="false" customHeight="true" outlineLevel="0" collapsed="false">
      <c r="B13" s="4" t="s">
        <v>18</v>
      </c>
      <c r="C13" s="5"/>
      <c r="D13" s="5"/>
    </row>
    <row r="14" customFormat="false" ht="15" hidden="false" customHeight="true" outlineLevel="0" collapsed="false">
      <c r="B14" s="6" t="s">
        <v>19</v>
      </c>
      <c r="C14" s="10" t="n">
        <v>3306.25</v>
      </c>
      <c r="D14" s="8" t="s">
        <v>20</v>
      </c>
    </row>
    <row r="15" customFormat="false" ht="15" hidden="false" customHeight="true" outlineLevel="0" collapsed="false">
      <c r="B15" s="6" t="s">
        <v>21</v>
      </c>
      <c r="C15" s="10" t="n">
        <v>4453</v>
      </c>
      <c r="D15" s="8" t="s">
        <v>20</v>
      </c>
    </row>
    <row r="16" customFormat="false" ht="15" hidden="false" customHeight="true" outlineLevel="0" collapsed="false">
      <c r="B16" s="6" t="s">
        <v>22</v>
      </c>
      <c r="C16" s="10" t="n">
        <v>3306.25</v>
      </c>
      <c r="D16" s="8" t="s">
        <v>23</v>
      </c>
    </row>
    <row r="17" customFormat="false" ht="15" hidden="false" customHeight="true" outlineLevel="0" collapsed="false">
      <c r="B17" s="4" t="s">
        <v>24</v>
      </c>
      <c r="C17" s="5"/>
      <c r="D17" s="5"/>
    </row>
    <row r="18" customFormat="false" ht="15" hidden="false" customHeight="true" outlineLevel="0" collapsed="false">
      <c r="B18" s="6" t="s">
        <v>25</v>
      </c>
      <c r="C18" s="9" t="n">
        <v>0.7109</v>
      </c>
      <c r="D18" s="8" t="s">
        <v>26</v>
      </c>
    </row>
    <row r="19" customFormat="false" ht="15" hidden="false" customHeight="true" outlineLevel="0" collapsed="false">
      <c r="B19" s="4" t="s">
        <v>27</v>
      </c>
      <c r="C19" s="5"/>
      <c r="D19" s="5"/>
    </row>
    <row r="20" customFormat="false" ht="15" hidden="false" customHeight="true" outlineLevel="0" collapsed="false">
      <c r="B20" s="6" t="s">
        <v>28</v>
      </c>
      <c r="C20" s="10" t="n">
        <v>400</v>
      </c>
      <c r="D20" s="8" t="s">
        <v>29</v>
      </c>
    </row>
    <row r="21" customFormat="false" ht="15" hidden="false" customHeight="true" outlineLevel="0" collapsed="false">
      <c r="B21" s="6" t="s">
        <v>30</v>
      </c>
      <c r="C21" s="10" t="n">
        <v>300</v>
      </c>
      <c r="D21" s="8" t="s">
        <v>31</v>
      </c>
    </row>
    <row r="22" customFormat="false" ht="15" hidden="false" customHeight="true" outlineLevel="0" collapsed="false">
      <c r="B22" s="6" t="s">
        <v>32</v>
      </c>
      <c r="C22" s="9" t="n">
        <v>0.06</v>
      </c>
      <c r="D22" s="8" t="s">
        <v>33</v>
      </c>
    </row>
    <row r="23" customFormat="false" ht="15" hidden="false" customHeight="true" outlineLevel="0" collapsed="false">
      <c r="B23" s="6" t="s">
        <v>34</v>
      </c>
      <c r="C23" s="10" t="n">
        <v>600</v>
      </c>
      <c r="D23" s="8" t="s">
        <v>35</v>
      </c>
    </row>
    <row r="24" customFormat="false" ht="15" hidden="false" customHeight="true" outlineLevel="0" collapsed="false">
      <c r="B24" s="6" t="s">
        <v>36</v>
      </c>
      <c r="C24" s="10" t="n">
        <v>500</v>
      </c>
      <c r="D24" s="8" t="s">
        <v>37</v>
      </c>
    </row>
    <row r="25" customFormat="false" ht="15" hidden="false" customHeight="true" outlineLevel="0" collapsed="false">
      <c r="B25" s="6" t="s">
        <v>38</v>
      </c>
      <c r="C25" s="10" t="n">
        <v>40</v>
      </c>
      <c r="D25" s="8" t="s">
        <v>39</v>
      </c>
    </row>
    <row r="26" customFormat="false" ht="15" hidden="false" customHeight="true" outlineLevel="0" collapsed="false">
      <c r="B26" s="4" t="s">
        <v>40</v>
      </c>
      <c r="C26" s="5"/>
      <c r="D26" s="5"/>
    </row>
    <row r="27" customFormat="false" ht="15" hidden="false" customHeight="true" outlineLevel="0" collapsed="false">
      <c r="B27" s="6" t="s">
        <v>41</v>
      </c>
      <c r="C27" s="9" t="n">
        <v>0.08</v>
      </c>
      <c r="D27" s="8" t="s">
        <v>42</v>
      </c>
    </row>
    <row r="28" customFormat="false" ht="15" hidden="false" customHeight="true" outlineLevel="0" collapsed="false">
      <c r="B28" s="6" t="s">
        <v>43</v>
      </c>
      <c r="C28" s="9" t="n">
        <v>0.03</v>
      </c>
      <c r="D28" s="8" t="s">
        <v>44</v>
      </c>
    </row>
    <row r="29" customFormat="false" ht="15" hidden="false" customHeight="true" outlineLevel="0" collapsed="false">
      <c r="B29" s="6" t="s">
        <v>45</v>
      </c>
      <c r="C29" s="9" t="n">
        <v>0.003</v>
      </c>
      <c r="D29" s="8" t="s">
        <v>46</v>
      </c>
    </row>
    <row r="30" customFormat="false" ht="15" hidden="false" customHeight="true" outlineLevel="0" collapsed="false">
      <c r="B30" s="6" t="s">
        <v>47</v>
      </c>
      <c r="C30" s="9" t="n">
        <v>0.04</v>
      </c>
      <c r="D30" s="8" t="s">
        <v>48</v>
      </c>
    </row>
    <row r="31" customFormat="false" ht="15" hidden="false" customHeight="true" outlineLevel="0" collapsed="false">
      <c r="B31" s="6" t="s">
        <v>49</v>
      </c>
      <c r="C31" s="9" t="n">
        <v>0.06</v>
      </c>
      <c r="D31" s="8" t="s">
        <v>48</v>
      </c>
    </row>
    <row r="32" customFormat="false" ht="15" hidden="false" customHeight="true" outlineLevel="0" collapsed="false">
      <c r="B32" s="4" t="s">
        <v>50</v>
      </c>
      <c r="C32" s="5"/>
      <c r="D32" s="5"/>
    </row>
    <row r="33" customFormat="false" ht="15" hidden="false" customHeight="true" outlineLevel="0" collapsed="false">
      <c r="B33" s="6" t="s">
        <v>51</v>
      </c>
      <c r="C33" s="9" t="n">
        <v>0.1633</v>
      </c>
      <c r="D33" s="8" t="s">
        <v>52</v>
      </c>
    </row>
    <row r="34" customFormat="false" ht="15" hidden="false" customHeight="true" outlineLevel="0" collapsed="false">
      <c r="B34" s="6" t="s">
        <v>53</v>
      </c>
      <c r="C34" s="9" t="n">
        <v>0.125</v>
      </c>
      <c r="D34" s="8" t="s">
        <v>54</v>
      </c>
    </row>
    <row r="35" customFormat="false" ht="21.75" hidden="false" customHeight="true" outlineLevel="0" collapsed="false">
      <c r="B35" s="6" t="s">
        <v>55</v>
      </c>
      <c r="C35" s="9" t="n">
        <v>0.1865</v>
      </c>
      <c r="D35" s="8" t="s">
        <v>56</v>
      </c>
    </row>
    <row r="37" customFormat="false" ht="15" hidden="false" customHeight="true" outlineLevel="0" collapsed="false">
      <c r="B37" s="11" t="s">
        <v>57</v>
      </c>
      <c r="C37" s="11"/>
      <c r="D37" s="11"/>
    </row>
    <row r="38" customFormat="false" ht="15" hidden="false" customHeight="true" outlineLevel="0" collapsed="false">
      <c r="B38" s="11"/>
      <c r="C38" s="11"/>
      <c r="D38" s="11"/>
    </row>
  </sheetData>
  <mergeCells count="1">
    <mergeCell ref="B37:D38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6"/>
    <col collapsed="false" customWidth="true" hidden="false" outlineLevel="0" max="5" min="3" style="1" width="17"/>
  </cols>
  <sheetData>
    <row r="1" customFormat="false" ht="16.5" hidden="false" customHeight="true" outlineLevel="0" collapsed="false">
      <c r="B1" s="2" t="s">
        <v>58</v>
      </c>
    </row>
    <row r="2" customFormat="false" ht="15" hidden="false" customHeight="true" outlineLevel="0" collapsed="false">
      <c r="B2" s="3" t="s">
        <v>59</v>
      </c>
    </row>
    <row r="4" customFormat="false" ht="25.5" hidden="false" customHeight="true" outlineLevel="0" collapsed="false">
      <c r="B4" s="12" t="s">
        <v>60</v>
      </c>
      <c r="C4" s="12" t="s">
        <v>61</v>
      </c>
      <c r="D4" s="12" t="s">
        <v>62</v>
      </c>
      <c r="E4" s="12" t="s">
        <v>63</v>
      </c>
    </row>
    <row r="5" customFormat="false" ht="15" hidden="false" customHeight="true" outlineLevel="0" collapsed="false">
      <c r="B5" s="13" t="s">
        <v>64</v>
      </c>
      <c r="C5" s="14" t="n">
        <f aca="false">Premissas!$C$14</f>
        <v>3306.25</v>
      </c>
      <c r="D5" s="14" t="n">
        <f aca="false">Premissas!$C$16</f>
        <v>3306.25</v>
      </c>
      <c r="E5" s="14" t="n">
        <f aca="false">Premissas!$C$15</f>
        <v>4453</v>
      </c>
    </row>
    <row r="6" customFormat="false" ht="15" hidden="false" customHeight="true" outlineLevel="0" collapsed="false">
      <c r="B6" s="13" t="s">
        <v>65</v>
      </c>
      <c r="C6" s="14" t="n">
        <f aca="false">C5*Premissas!$C$18</f>
        <v>2350.413125</v>
      </c>
      <c r="D6" s="14" t="n">
        <f aca="false">D5*Premissas!$C$18</f>
        <v>2350.413125</v>
      </c>
      <c r="E6" s="14" t="n">
        <f aca="false">E5*Premissas!$C$18</f>
        <v>3165.6377</v>
      </c>
    </row>
    <row r="7" customFormat="false" ht="15" hidden="false" customHeight="true" outlineLevel="0" collapsed="false">
      <c r="B7" s="15" t="s">
        <v>66</v>
      </c>
      <c r="C7" s="16" t="n">
        <f aca="false">C5+C6</f>
        <v>5656.663125</v>
      </c>
      <c r="D7" s="16" t="n">
        <f aca="false">D5+D6</f>
        <v>5656.663125</v>
      </c>
      <c r="E7" s="16" t="n">
        <f aca="false">E5+E6</f>
        <v>7618.6377</v>
      </c>
    </row>
    <row r="8" customFormat="false" ht="15" hidden="false" customHeight="true" outlineLevel="0" collapsed="false">
      <c r="B8" s="13" t="s">
        <v>67</v>
      </c>
      <c r="C8" s="14" t="n">
        <f aca="false">MAX(0,Premissas!$C$20-Premissas!$C$22*C5)</f>
        <v>201.625</v>
      </c>
      <c r="D8" s="14" t="n">
        <f aca="false">MAX(0,Premissas!$C$21-Premissas!$C$22*D5)</f>
        <v>101.625</v>
      </c>
      <c r="E8" s="14" t="n">
        <f aca="false">MAX(0,Premissas!$C$20-Premissas!$C$22*E5)</f>
        <v>132.82</v>
      </c>
    </row>
    <row r="9" customFormat="false" ht="15" hidden="false" customHeight="true" outlineLevel="0" collapsed="false">
      <c r="B9" s="13" t="s">
        <v>68</v>
      </c>
      <c r="C9" s="14" t="n">
        <f aca="false">Premissas!$C$23</f>
        <v>600</v>
      </c>
      <c r="D9" s="14" t="n">
        <f aca="false">Premissas!$C$23</f>
        <v>600</v>
      </c>
      <c r="E9" s="14" t="n">
        <f aca="false">Premissas!$C$23</f>
        <v>600</v>
      </c>
    </row>
    <row r="10" customFormat="false" ht="15" hidden="false" customHeight="true" outlineLevel="0" collapsed="false">
      <c r="B10" s="13" t="s">
        <v>69</v>
      </c>
      <c r="C10" s="14" t="n">
        <f aca="false">Premissas!$C$24</f>
        <v>500</v>
      </c>
      <c r="D10" s="14" t="n">
        <f aca="false">Premissas!$C$24</f>
        <v>500</v>
      </c>
      <c r="E10" s="14" t="n">
        <f aca="false">Premissas!$C$24</f>
        <v>500</v>
      </c>
    </row>
    <row r="11" customFormat="false" ht="15" hidden="false" customHeight="true" outlineLevel="0" collapsed="false">
      <c r="B11" s="13" t="s">
        <v>70</v>
      </c>
      <c r="C11" s="14" t="n">
        <f aca="false">Premissas!$C$25</f>
        <v>40</v>
      </c>
      <c r="D11" s="14" t="n">
        <f aca="false">Premissas!$C$25</f>
        <v>40</v>
      </c>
      <c r="E11" s="14" t="n">
        <f aca="false">Premissas!$C$25</f>
        <v>40</v>
      </c>
    </row>
    <row r="12" customFormat="false" ht="15" hidden="false" customHeight="true" outlineLevel="0" collapsed="false">
      <c r="B12" s="15" t="s">
        <v>71</v>
      </c>
      <c r="C12" s="16" t="n">
        <f aca="false">SUM(C8:C11)</f>
        <v>1341.625</v>
      </c>
      <c r="D12" s="16" t="n">
        <f aca="false">SUM(D8:D11)</f>
        <v>1241.625</v>
      </c>
      <c r="E12" s="16" t="n">
        <f aca="false">SUM(E8:E11)</f>
        <v>1272.82</v>
      </c>
    </row>
    <row r="13" customFormat="false" ht="15" hidden="false" customHeight="true" outlineLevel="0" collapsed="false">
      <c r="B13" s="17" t="s">
        <v>72</v>
      </c>
      <c r="C13" s="18" t="n">
        <f aca="false">C7+C12</f>
        <v>6998.288125</v>
      </c>
      <c r="D13" s="18" t="n">
        <f aca="false">D7+D12</f>
        <v>6898.288125</v>
      </c>
      <c r="E13" s="18" t="n">
        <f aca="false">E7+E12</f>
        <v>8891.4577</v>
      </c>
    </row>
    <row r="14" customFormat="false" ht="15" hidden="false" customHeight="true" outlineLevel="0" collapsed="false">
      <c r="B14" s="13" t="s">
        <v>73</v>
      </c>
      <c r="C14" s="14" t="n">
        <f aca="false">(C5+C6)*Premissas!$C$27</f>
        <v>452.53305</v>
      </c>
      <c r="D14" s="14" t="n">
        <f aca="false">(D5+D6)*Premissas!$C$27</f>
        <v>452.53305</v>
      </c>
      <c r="E14" s="14" t="n">
        <f aca="false">(E5+E6)*Premissas!$C$27</f>
        <v>609.491016</v>
      </c>
    </row>
    <row r="15" customFormat="false" ht="15" hidden="false" customHeight="true" outlineLevel="0" collapsed="false">
      <c r="B15" s="13" t="s">
        <v>74</v>
      </c>
      <c r="C15" s="14" t="n">
        <f aca="false">C13*Premissas!$C$29</f>
        <v>20.994864375</v>
      </c>
      <c r="D15" s="14" t="n">
        <f aca="false">D13*Premissas!$C$29</f>
        <v>20.694864375</v>
      </c>
      <c r="E15" s="14" t="n">
        <f aca="false">E13*Premissas!$C$29</f>
        <v>26.6743731</v>
      </c>
    </row>
    <row r="16" customFormat="false" ht="15" hidden="false" customHeight="true" outlineLevel="0" collapsed="false">
      <c r="B16" s="13" t="s">
        <v>75</v>
      </c>
      <c r="C16" s="14" t="n">
        <f aca="false">C13*(Premissas!$C$28-Premissas!$C$29)</f>
        <v>188.953779375</v>
      </c>
      <c r="D16" s="14" t="n">
        <f aca="false">D13*(Premissas!$C$28-Premissas!$C$29)</f>
        <v>186.253779375</v>
      </c>
      <c r="E16" s="14" t="n">
        <f aca="false">E13*(Premissas!$C$28-Premissas!$C$29)</f>
        <v>240.0693579</v>
      </c>
    </row>
    <row r="17" customFormat="false" ht="15" hidden="false" customHeight="true" outlineLevel="0" collapsed="false">
      <c r="B17" s="15" t="s">
        <v>76</v>
      </c>
      <c r="C17" s="16" t="n">
        <f aca="false">C13+C14+C15+C16</f>
        <v>7660.76981875</v>
      </c>
      <c r="D17" s="16" t="n">
        <f aca="false">D13+D14+D15+D16</f>
        <v>7557.76981875</v>
      </c>
      <c r="E17" s="16" t="n">
        <f aca="false">E13+E14+E15+E16</f>
        <v>9767.692447</v>
      </c>
    </row>
    <row r="18" customFormat="false" ht="15" hidden="false" customHeight="true" outlineLevel="0" collapsed="false">
      <c r="B18" s="13" t="s">
        <v>77</v>
      </c>
      <c r="C18" s="14" t="n">
        <f aca="false">C17*Premissas!$C$30</f>
        <v>306.43079275</v>
      </c>
      <c r="D18" s="14" t="n">
        <f aca="false">D17*Premissas!$C$30</f>
        <v>302.31079275</v>
      </c>
      <c r="E18" s="14" t="n">
        <f aca="false">E17*Premissas!$C$30</f>
        <v>390.70769788</v>
      </c>
    </row>
    <row r="19" customFormat="false" ht="15" hidden="false" customHeight="true" outlineLevel="0" collapsed="false">
      <c r="B19" s="13" t="s">
        <v>78</v>
      </c>
      <c r="C19" s="14" t="n">
        <f aca="false">C17*Premissas!$C$31</f>
        <v>459.646189125</v>
      </c>
      <c r="D19" s="14" t="n">
        <f aca="false">D17*Premissas!$C$31</f>
        <v>453.466189125</v>
      </c>
      <c r="E19" s="14" t="n">
        <f aca="false">E17*Premissas!$C$31</f>
        <v>586.06154682</v>
      </c>
    </row>
    <row r="20" customFormat="false" ht="15" hidden="false" customHeight="true" outlineLevel="0" collapsed="false">
      <c r="B20" s="17" t="s">
        <v>79</v>
      </c>
      <c r="C20" s="18" t="n">
        <f aca="false">C17+C18+C19</f>
        <v>8426.846800625</v>
      </c>
      <c r="D20" s="18" t="n">
        <f aca="false">D17+D18+D19</f>
        <v>8313.546800625</v>
      </c>
      <c r="E20" s="18" t="n">
        <f aca="false">E17+E18+E19</f>
        <v>10744.4616917</v>
      </c>
    </row>
    <row r="21" customFormat="false" ht="15" hidden="false" customHeight="true" outlineLevel="0" collapsed="false">
      <c r="B21" s="13" t="s">
        <v>80</v>
      </c>
      <c r="C21" s="14" t="n">
        <f aca="false">C20/(1-Premissas!$C$33)-C20</f>
        <v>1644.68039027377</v>
      </c>
      <c r="D21" s="14" t="n">
        <f aca="false">D20/(1-Premissas!$C$33)-D20</f>
        <v>1622.56745851806</v>
      </c>
      <c r="E21" s="14" t="n">
        <f aca="false">E20/(1-Premissas!$C$33)-E20</f>
        <v>2097.0127814684</v>
      </c>
    </row>
    <row r="22" customFormat="false" ht="15" hidden="false" customHeight="true" outlineLevel="0" collapsed="false">
      <c r="B22" s="19" t="s">
        <v>81</v>
      </c>
      <c r="C22" s="20" t="n">
        <f aca="false">C20+C21</f>
        <v>10071.5271908988</v>
      </c>
      <c r="D22" s="20" t="n">
        <f aca="false">D20+D21</f>
        <v>9936.11425914306</v>
      </c>
      <c r="E22" s="20" t="n">
        <f aca="false">E20+E21</f>
        <v>12841.4744731684</v>
      </c>
    </row>
    <row r="24" customFormat="false" ht="15" hidden="false" customHeight="true" outlineLevel="0" collapsed="false">
      <c r="B24" s="11" t="s">
        <v>82</v>
      </c>
      <c r="C24" s="11"/>
      <c r="D24" s="11"/>
      <c r="E24" s="11"/>
    </row>
    <row r="25" customFormat="false" ht="15" hidden="false" customHeight="true" outlineLevel="0" collapsed="false">
      <c r="B25" s="11"/>
      <c r="C25" s="11"/>
      <c r="D25" s="11"/>
      <c r="E25" s="11"/>
    </row>
  </sheetData>
  <mergeCells count="1">
    <mergeCell ref="B24:E25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50"/>
    <col collapsed="false" customWidth="true" hidden="false" outlineLevel="0" max="3" min="3" style="1" width="12"/>
    <col collapsed="false" customWidth="true" hidden="false" outlineLevel="0" max="5" min="4" style="1" width="18"/>
    <col collapsed="false" customWidth="true" hidden="false" outlineLevel="0" max="6" min="6" style="1" width="14"/>
  </cols>
  <sheetData>
    <row r="1" customFormat="false" ht="16.5" hidden="false" customHeight="true" outlineLevel="0" collapsed="false">
      <c r="B1" s="2" t="s">
        <v>83</v>
      </c>
    </row>
    <row r="2" customFormat="false" ht="15" hidden="false" customHeight="true" outlineLevel="0" collapsed="false">
      <c r="B2" s="3" t="s">
        <v>84</v>
      </c>
    </row>
    <row r="4" customFormat="false" ht="15" hidden="false" customHeight="true" outlineLevel="0" collapsed="false">
      <c r="B4" s="12" t="s">
        <v>85</v>
      </c>
      <c r="C4" s="12" t="s">
        <v>86</v>
      </c>
      <c r="D4" s="12" t="s">
        <v>87</v>
      </c>
      <c r="E4" s="12" t="s">
        <v>88</v>
      </c>
      <c r="F4" s="12" t="s">
        <v>89</v>
      </c>
    </row>
    <row r="5" customFormat="false" ht="15" hidden="false" customHeight="true" outlineLevel="0" collapsed="false">
      <c r="B5" s="13" t="s">
        <v>90</v>
      </c>
      <c r="C5" s="21" t="n">
        <f aca="false">Premissas!$C$6</f>
        <v>9</v>
      </c>
      <c r="D5" s="14" t="n">
        <f aca="false">'Composição por Posto'!C22</f>
        <v>10071.5271908988</v>
      </c>
      <c r="E5" s="14" t="n">
        <f aca="false">C5*D5</f>
        <v>90643.7447180889</v>
      </c>
      <c r="F5" s="14" t="n">
        <f aca="false">E5*12</f>
        <v>1087724.93661707</v>
      </c>
    </row>
    <row r="6" customFormat="false" ht="15" hidden="false" customHeight="true" outlineLevel="0" collapsed="false">
      <c r="B6" s="13" t="s">
        <v>91</v>
      </c>
      <c r="C6" s="21" t="n">
        <f aca="false">Premissas!$C$7</f>
        <v>1</v>
      </c>
      <c r="D6" s="14" t="n">
        <f aca="false">'Composição por Posto'!D22</f>
        <v>9936.11425914306</v>
      </c>
      <c r="E6" s="14" t="n">
        <f aca="false">C6*D6</f>
        <v>9936.11425914306</v>
      </c>
      <c r="F6" s="14" t="n">
        <f aca="false">E6*12</f>
        <v>119233.371109717</v>
      </c>
    </row>
    <row r="7" customFormat="false" ht="15" hidden="false" customHeight="true" outlineLevel="0" collapsed="false">
      <c r="B7" s="13" t="s">
        <v>92</v>
      </c>
      <c r="C7" s="21" t="n">
        <f aca="false">Premissas!$C$8</f>
        <v>1</v>
      </c>
      <c r="D7" s="14" t="n">
        <f aca="false">'Composição por Posto'!E22</f>
        <v>12841.4744731684</v>
      </c>
      <c r="E7" s="14" t="n">
        <f aca="false">C7*D7</f>
        <v>12841.4744731684</v>
      </c>
      <c r="F7" s="14" t="n">
        <f aca="false">E7*12</f>
        <v>154097.693678021</v>
      </c>
    </row>
    <row r="8" customFormat="false" ht="15" hidden="false" customHeight="true" outlineLevel="0" collapsed="false">
      <c r="B8" s="19" t="s">
        <v>93</v>
      </c>
      <c r="C8" s="22" t="n">
        <f aca="false">SUM(C5:C7)</f>
        <v>11</v>
      </c>
      <c r="D8" s="23"/>
      <c r="E8" s="20" t="n">
        <f aca="false">SUM(E5:E7)</f>
        <v>113421.3334504</v>
      </c>
      <c r="F8" s="20" t="n">
        <f aca="false">SUM(F5:F7)</f>
        <v>1361056.0014048</v>
      </c>
    </row>
    <row r="10" customFormat="false" ht="15" hidden="false" customHeight="true" outlineLevel="0" collapsed="false">
      <c r="B10" s="6" t="s">
        <v>94</v>
      </c>
      <c r="E10" s="24" t="n">
        <f aca="false">Premissas!$C$6*'Composição por Posto'!C5+Premissas!$C$7*'Composição por Posto'!D5+Premissas!$C$8*'Composição por Posto'!E5</f>
        <v>37515.5</v>
      </c>
    </row>
    <row r="12" customFormat="false" ht="15" hidden="false" customHeight="true" outlineLevel="0" collapsed="false">
      <c r="B12" s="25" t="s">
        <v>95</v>
      </c>
      <c r="C12" s="26"/>
      <c r="D12" s="26"/>
      <c r="E12" s="26"/>
      <c r="F12" s="26"/>
    </row>
    <row r="13" customFormat="false" ht="15" hidden="false" customHeight="true" outlineLevel="0" collapsed="false">
      <c r="B13" s="27" t="s">
        <v>96</v>
      </c>
      <c r="E13" s="28" t="s">
        <v>88</v>
      </c>
      <c r="F13" s="28" t="s">
        <v>97</v>
      </c>
    </row>
    <row r="14" customFormat="false" ht="25.5" hidden="false" customHeight="true" outlineLevel="0" collapsed="false">
      <c r="B14" s="13" t="s">
        <v>98</v>
      </c>
      <c r="E14" s="14" t="n">
        <f aca="false">Premissas!$C$6*('Composição por Posto'!C7+'Composição por Posto'!C12+'Composição por Posto'!C14)+Premissas!$C$7*('Composição por Posto'!D7+'Composição por Posto'!D12+'Composição por Posto'!D14)+Premissas!$C$8*('Composição por Posto'!E7+'Composição por Posto'!E12+'Composição por Posto'!E14)</f>
        <v>83909.160466</v>
      </c>
      <c r="F14" s="29" t="n">
        <f aca="false">E14/'Quadro Econômico'!$E$8</f>
        <v>0.739800511185965</v>
      </c>
    </row>
    <row r="15" customFormat="false" ht="15" hidden="false" customHeight="true" outlineLevel="0" collapsed="false">
      <c r="B15" s="13" t="s">
        <v>99</v>
      </c>
      <c r="E15" s="14" t="n">
        <f aca="false">Premissas!$C$6*'Composição por Posto'!C15+Premissas!$C$7*'Composição por Posto'!D15+Premissas!$C$8*'Composição por Posto'!E15</f>
        <v>236.32301685</v>
      </c>
      <c r="F15" s="29" t="n">
        <f aca="false">E15/'Quadro Econômico'!$E$8</f>
        <v>0.00208358524503986</v>
      </c>
    </row>
    <row r="16" customFormat="false" ht="15" hidden="false" customHeight="true" outlineLevel="0" collapsed="false">
      <c r="B16" s="17" t="s">
        <v>100</v>
      </c>
      <c r="E16" s="18" t="n">
        <f aca="false">E14+E15</f>
        <v>84145.48348285</v>
      </c>
      <c r="F16" s="30" t="n">
        <f aca="false">E16/'Quadro Econômico'!$E$8</f>
        <v>0.741884096431005</v>
      </c>
    </row>
    <row r="17" customFormat="false" ht="15" hidden="false" customHeight="true" outlineLevel="0" collapsed="false">
      <c r="B17" s="13" t="s">
        <v>101</v>
      </c>
      <c r="E17" s="14" t="n">
        <f aca="false">Premissas!$C$6*'Composição por Posto'!C21+Premissas!$C$7*'Composição por Posto'!D21+Premissas!$C$8*'Composição por Posto'!E21</f>
        <v>18521.7037524504</v>
      </c>
      <c r="F17" s="29" t="n">
        <f aca="false">E17/'Quadro Econômico'!$E$8</f>
        <v>0.1633</v>
      </c>
    </row>
    <row r="18" customFormat="false" ht="25.5" hidden="false" customHeight="true" outlineLevel="0" collapsed="false">
      <c r="B18" s="19" t="s">
        <v>102</v>
      </c>
      <c r="E18" s="20" t="n">
        <f aca="false">'Quadro Econômico'!$E$8-E16-E17</f>
        <v>10754.1462151</v>
      </c>
      <c r="F18" s="31" t="n">
        <f aca="false">E18/'Quadro Econômico'!$E$8</f>
        <v>0.0948159035689952</v>
      </c>
    </row>
    <row r="20" customFormat="false" ht="15" hidden="false" customHeight="true" outlineLevel="0" collapsed="false">
      <c r="B20" s="11" t="s">
        <v>103</v>
      </c>
      <c r="C20" s="11"/>
      <c r="D20" s="11"/>
      <c r="E20" s="11"/>
      <c r="F20" s="11"/>
    </row>
    <row r="21" customFormat="false" ht="15" hidden="false" customHeight="true" outlineLevel="0" collapsed="false">
      <c r="B21" s="11"/>
      <c r="C21" s="11"/>
      <c r="D21" s="11"/>
      <c r="E21" s="11"/>
      <c r="F21" s="11"/>
    </row>
  </sheetData>
  <mergeCells count="1">
    <mergeCell ref="B20:F21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4"/>
    <col collapsed="false" customWidth="true" hidden="false" outlineLevel="0" max="5" min="3" style="1" width="20"/>
  </cols>
  <sheetData>
    <row r="1" customFormat="false" ht="16.5" hidden="false" customHeight="true" outlineLevel="0" collapsed="false">
      <c r="B1" s="2" t="s">
        <v>104</v>
      </c>
    </row>
    <row r="2" customFormat="false" ht="15" hidden="false" customHeight="true" outlineLevel="0" collapsed="false">
      <c r="B2" s="3" t="s">
        <v>105</v>
      </c>
    </row>
    <row r="4" customFormat="false" ht="15" hidden="false" customHeight="true" outlineLevel="0" collapsed="false">
      <c r="B4" s="12" t="s">
        <v>106</v>
      </c>
      <c r="C4" s="12" t="s">
        <v>107</v>
      </c>
      <c r="D4" s="12" t="s">
        <v>108</v>
      </c>
      <c r="E4" s="12" t="s">
        <v>109</v>
      </c>
    </row>
    <row r="5" customFormat="false" ht="15" hidden="false" customHeight="true" outlineLevel="0" collapsed="false">
      <c r="B5" s="13" t="s">
        <v>110</v>
      </c>
      <c r="C5" s="32" t="n">
        <f aca="false">Premissas!$C$34</f>
        <v>0.125</v>
      </c>
      <c r="D5" s="14" t="n">
        <f aca="false">(Premissas!$C$6*'Composição por Posto'!C20+Premissas!$C$7*'Composição por Posto'!D20+Premissas!$C$8*'Composição por Posto'!E20)/(1-Premissas!$C$34)</f>
        <v>108456.7196548</v>
      </c>
      <c r="E5" s="14" t="n">
        <f aca="false">D5*12</f>
        <v>1301480.6358576</v>
      </c>
    </row>
    <row r="6" customFormat="false" ht="15" hidden="false" customHeight="true" outlineLevel="0" collapsed="false">
      <c r="B6" s="13" t="s">
        <v>111</v>
      </c>
      <c r="C6" s="32" t="n">
        <f aca="false">Premissas!$C$33</f>
        <v>0.1633</v>
      </c>
      <c r="D6" s="14" t="n">
        <f aca="false">(Premissas!$C$6*'Composição por Posto'!C20+Premissas!$C$7*'Composição por Posto'!D20+Premissas!$C$8*'Composição por Posto'!E20)/(1-Premissas!$C$33)</f>
        <v>113421.3334504</v>
      </c>
      <c r="E6" s="14" t="n">
        <f aca="false">D6*12</f>
        <v>1361056.0014048</v>
      </c>
    </row>
    <row r="7" customFormat="false" ht="15" hidden="false" customHeight="true" outlineLevel="0" collapsed="false">
      <c r="B7" s="13" t="s">
        <v>112</v>
      </c>
      <c r="C7" s="32" t="n">
        <f aca="false">Premissas!$C$35</f>
        <v>0.1865</v>
      </c>
      <c r="D7" s="14" t="n">
        <f aca="false">(Premissas!$C$6*'Composição por Posto'!C20+Premissas!$C$7*'Composição por Posto'!D20+Premissas!$C$8*'Composição por Posto'!E20)/(1-Premissas!$C$35)</f>
        <v>116655.967668039</v>
      </c>
      <c r="E7" s="14" t="n">
        <f aca="false">D7*12</f>
        <v>1399871.61201647</v>
      </c>
    </row>
    <row r="9" customFormat="false" ht="15" hidden="false" customHeight="true" outlineLevel="0" collapsed="false">
      <c r="B9" s="11" t="s">
        <v>113</v>
      </c>
      <c r="C9" s="11"/>
      <c r="D9" s="11"/>
      <c r="E9" s="11"/>
    </row>
    <row r="10" customFormat="false" ht="15" hidden="false" customHeight="true" outlineLevel="0" collapsed="false">
      <c r="B10" s="11"/>
      <c r="C10" s="11"/>
      <c r="D10" s="11"/>
      <c r="E10" s="11"/>
    </row>
  </sheetData>
  <mergeCells count="1">
    <mergeCell ref="B9:E10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6" min="3" style="1" width="18"/>
  </cols>
  <sheetData>
    <row r="1" customFormat="false" ht="16.5" hidden="false" customHeight="true" outlineLevel="0" collapsed="false">
      <c r="B1" s="2" t="s">
        <v>114</v>
      </c>
    </row>
    <row r="2" customFormat="false" ht="15" hidden="false" customHeight="true" outlineLevel="0" collapsed="false">
      <c r="B2" s="3" t="s">
        <v>115</v>
      </c>
    </row>
    <row r="4" customFormat="false" ht="15" hidden="false" customHeight="true" outlineLevel="0" collapsed="false">
      <c r="B4" s="12" t="s">
        <v>116</v>
      </c>
      <c r="C4" s="12" t="s">
        <v>117</v>
      </c>
      <c r="D4" s="12" t="s">
        <v>118</v>
      </c>
      <c r="E4" s="12" t="s">
        <v>119</v>
      </c>
      <c r="F4" s="33"/>
    </row>
    <row r="5" customFormat="false" ht="15" hidden="false" customHeight="true" outlineLevel="0" collapsed="false">
      <c r="B5" s="13" t="s">
        <v>120</v>
      </c>
      <c r="C5" s="14" t="n">
        <f aca="false">'Quadro Econômico'!$F$8</f>
        <v>1361056.0014048</v>
      </c>
      <c r="D5" s="14" t="n">
        <f aca="false">C5*E5</f>
        <v>1361056.0014048</v>
      </c>
      <c r="E5" s="34" t="n">
        <f aca="false">(1+Premissas!$C$12)^0</f>
        <v>1</v>
      </c>
      <c r="F5" s="35"/>
    </row>
    <row r="6" customFormat="false" ht="15" hidden="false" customHeight="true" outlineLevel="0" collapsed="false">
      <c r="B6" s="13" t="s">
        <v>121</v>
      </c>
      <c r="C6" s="14" t="n">
        <f aca="false">'Quadro Econômico'!$F$8</f>
        <v>1361056.0014048</v>
      </c>
      <c r="D6" s="14" t="n">
        <f aca="false">C6*E6</f>
        <v>1429108.80147505</v>
      </c>
      <c r="E6" s="34" t="n">
        <f aca="false">(1+Premissas!$C$12)^1</f>
        <v>1.05</v>
      </c>
      <c r="F6" s="35"/>
    </row>
    <row r="7" customFormat="false" ht="15" hidden="false" customHeight="true" outlineLevel="0" collapsed="false">
      <c r="B7" s="13" t="s">
        <v>122</v>
      </c>
      <c r="C7" s="14" t="n">
        <f aca="false">'Quadro Econômico'!$F$8</f>
        <v>1361056.0014048</v>
      </c>
      <c r="D7" s="14" t="n">
        <f aca="false">C7*E7</f>
        <v>1500564.2415488</v>
      </c>
      <c r="E7" s="34" t="n">
        <f aca="false">(1+Premissas!$C$12)^2</f>
        <v>1.1025</v>
      </c>
      <c r="F7" s="35"/>
    </row>
    <row r="8" customFormat="false" ht="15" hidden="false" customHeight="true" outlineLevel="0" collapsed="false">
      <c r="B8" s="13"/>
      <c r="C8" s="14"/>
      <c r="D8" s="14"/>
      <c r="E8" s="34"/>
      <c r="F8" s="35"/>
    </row>
    <row r="9" customFormat="false" ht="15" hidden="false" customHeight="true" outlineLevel="0" collapsed="false">
      <c r="B9" s="19" t="s">
        <v>123</v>
      </c>
      <c r="C9" s="20" t="n">
        <f aca="false">SUM(C5:C7)</f>
        <v>4083168.00421441</v>
      </c>
      <c r="D9" s="20" t="n">
        <f aca="false">SUM(D5:D7)</f>
        <v>4290729.04442865</v>
      </c>
      <c r="F9" s="36"/>
    </row>
    <row r="11" customFormat="false" ht="25.5" hidden="false" customHeight="true" outlineLevel="0" collapsed="false">
      <c r="B11" s="6" t="s">
        <v>124</v>
      </c>
      <c r="D11" s="37" t="n">
        <v>4400000</v>
      </c>
    </row>
    <row r="12" customFormat="false" ht="15" hidden="false" customHeight="true" outlineLevel="0" collapsed="false">
      <c r="B12" s="11" t="s">
        <v>125</v>
      </c>
      <c r="C12" s="11"/>
      <c r="D12" s="11"/>
      <c r="E12" s="11"/>
      <c r="F12" s="11"/>
    </row>
    <row r="13" customFormat="false" ht="15" hidden="false" customHeight="true" outlineLevel="0" collapsed="false">
      <c r="B13" s="11"/>
      <c r="C13" s="11"/>
      <c r="D13" s="11"/>
      <c r="E13" s="11"/>
      <c r="F13" s="11"/>
    </row>
  </sheetData>
  <mergeCells count="1">
    <mergeCell ref="B12:F13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0"/>
    <col collapsed="false" customWidth="true" hidden="false" outlineLevel="0" max="6" min="3" style="1" width="17"/>
  </cols>
  <sheetData>
    <row r="1" customFormat="false" ht="16.5" hidden="false" customHeight="true" outlineLevel="0" collapsed="false">
      <c r="B1" s="2" t="s">
        <v>126</v>
      </c>
    </row>
    <row r="2" customFormat="false" ht="15" hidden="false" customHeight="true" outlineLevel="0" collapsed="false">
      <c r="B2" s="3" t="s">
        <v>127</v>
      </c>
    </row>
    <row r="4" customFormat="false" ht="15" hidden="false" customHeight="true" outlineLevel="0" collapsed="false">
      <c r="B4" s="4" t="s">
        <v>128</v>
      </c>
      <c r="C4" s="5"/>
    </row>
    <row r="5" customFormat="false" ht="15" hidden="false" customHeight="true" outlineLevel="0" collapsed="false">
      <c r="B5" s="6" t="s">
        <v>129</v>
      </c>
      <c r="C5" s="38" t="n">
        <v>30</v>
      </c>
    </row>
    <row r="6" customFormat="false" ht="15" hidden="false" customHeight="true" outlineLevel="0" collapsed="false">
      <c r="B6" s="6" t="s">
        <v>130</v>
      </c>
      <c r="C6" s="14" t="n">
        <f aca="false">'Quadro Econômico'!$E$8</f>
        <v>113421.3334504</v>
      </c>
    </row>
    <row r="7" customFormat="false" ht="15" hidden="false" customHeight="true" outlineLevel="0" collapsed="false">
      <c r="B7" s="6" t="s">
        <v>131</v>
      </c>
      <c r="C7" s="29" t="n">
        <f aca="false">'Quadro Econômico'!$F$18</f>
        <v>0.0948159035689952</v>
      </c>
    </row>
    <row r="8" customFormat="false" ht="15" hidden="false" customHeight="true" outlineLevel="0" collapsed="false">
      <c r="B8" s="6" t="s">
        <v>132</v>
      </c>
      <c r="C8" s="14" t="n">
        <f aca="false">C6*C7</f>
        <v>10754.1462151</v>
      </c>
    </row>
    <row r="9" customFormat="false" ht="25.5" hidden="false" customHeight="true" outlineLevel="0" collapsed="false">
      <c r="B9" s="6" t="s">
        <v>133</v>
      </c>
      <c r="C9" s="39" t="n">
        <f aca="false">C7</f>
        <v>0.0948159035689952</v>
      </c>
    </row>
    <row r="11" customFormat="false" ht="15" hidden="false" customHeight="true" outlineLevel="0" collapsed="false">
      <c r="B11" s="4" t="s">
        <v>134</v>
      </c>
      <c r="C11" s="5"/>
      <c r="D11" s="5"/>
      <c r="E11" s="5"/>
      <c r="F11" s="5"/>
    </row>
    <row r="12" customFormat="false" ht="25.5" hidden="false" customHeight="true" outlineLevel="0" collapsed="false">
      <c r="B12" s="12" t="s">
        <v>135</v>
      </c>
      <c r="C12" s="12" t="s">
        <v>136</v>
      </c>
      <c r="D12" s="12" t="s">
        <v>137</v>
      </c>
      <c r="E12" s="12" t="s">
        <v>138</v>
      </c>
      <c r="F12" s="12" t="s">
        <v>139</v>
      </c>
    </row>
    <row r="13" customFormat="false" ht="15" hidden="false" customHeight="true" outlineLevel="0" collapsed="false">
      <c r="B13" s="13" t="s">
        <v>140</v>
      </c>
      <c r="C13" s="10" t="n">
        <v>108000</v>
      </c>
      <c r="D13" s="29" t="n">
        <f aca="false">($C$6-C13)/$C$6</f>
        <v>0.0477981812193308</v>
      </c>
      <c r="E13" s="40" t="str">
        <f aca="false">IF(D13&lt;0,"Acima do máximo — desclassificada",IF(D13&lt;=$C$9,"Sim","Presumida anômala — item 4.10"))</f>
        <v>Sim</v>
      </c>
      <c r="F13" s="41" t="n">
        <f aca="false">IF(OR(D13&lt;0,MAX($D$13:$D$15)&lt;=0),0,MIN(D13,$C$9)/MIN(MAX($D$13:$D$15),$C$9)*$C$5)</f>
        <v>30</v>
      </c>
    </row>
    <row r="14" customFormat="false" ht="15" hidden="false" customHeight="true" outlineLevel="0" collapsed="false">
      <c r="B14" s="13" t="s">
        <v>141</v>
      </c>
      <c r="C14" s="10" t="n">
        <v>111000</v>
      </c>
      <c r="D14" s="29" t="n">
        <f aca="false">($C$6-C14)/$C$6</f>
        <v>0.0213481306976456</v>
      </c>
      <c r="E14" s="40" t="str">
        <f aca="false">IF(D14&lt;0,"Acima do máximo — desclassificada",IF(D14&lt;=$C$9,"Sim","Presumida anômala — item 4.10"))</f>
        <v>Sim</v>
      </c>
      <c r="F14" s="41" t="n">
        <f aca="false">IF(OR(D14&lt;0,MAX($D$13:$D$15)&lt;=0),0,MIN(D14,$C$9)/MIN(MAX($D$13:$D$15),$C$9)*$C$5)</f>
        <v>13.3989182138662</v>
      </c>
    </row>
    <row r="15" customFormat="false" ht="15" hidden="false" customHeight="true" outlineLevel="0" collapsed="false">
      <c r="B15" s="13" t="s">
        <v>142</v>
      </c>
      <c r="C15" s="14" t="n">
        <f aca="false">C6</f>
        <v>113421.3334504</v>
      </c>
      <c r="D15" s="29" t="n">
        <f aca="false">($C$6-C15)/$C$6</f>
        <v>0</v>
      </c>
      <c r="E15" s="40" t="str">
        <f aca="false">IF(D15&lt;0,"Acima do máximo — desclassificada",IF(D15&lt;=$C$9,"Sim","Presumida anômala — item 4.10"))</f>
        <v>Sim</v>
      </c>
      <c r="F15" s="41" t="n">
        <f aca="false">IF(OR(D15&lt;0,MAX($D$13:$D$15)&lt;=0),0,MIN(D15,$C$9)/MIN(MAX($D$13:$D$15),$C$9)*$C$5)</f>
        <v>0</v>
      </c>
    </row>
    <row r="17" customFormat="false" ht="15" hidden="false" customHeight="true" outlineLevel="0" collapsed="false">
      <c r="B17" s="11" t="s">
        <v>143</v>
      </c>
      <c r="C17" s="11"/>
      <c r="D17" s="11"/>
      <c r="E17" s="11"/>
      <c r="F17" s="11"/>
    </row>
    <row r="18" customFormat="false" ht="15" hidden="false" customHeight="true" outlineLevel="0" collapsed="false">
      <c r="B18" s="11"/>
      <c r="C18" s="11"/>
      <c r="D18" s="11"/>
      <c r="E18" s="11"/>
      <c r="F18" s="11"/>
    </row>
  </sheetData>
  <mergeCells count="1">
    <mergeCell ref="B17:F18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2026-09-10T13:11:52Z</dcterms:created>
  <dc:creator>openpyxl</dc:creator>
  <dc:description/>
  <dc:language>en-US</dc:language>
  <cp:lastModifiedBy>Lucimar Morais Cunha</cp:lastModifiedBy>
  <dcterms:modified xsi:type="dcterms:W3CDTF">2026-10-15T07:58:45Z</dcterms:modified>
  <cp:revision>0</cp:revision>
  <dc:subject/>
  <dc:title>Planilha de Valores de Referência — Edital 1/2026 — CIG BD3F99D83B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